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jaxdc1\users$\jyoung\Desktop\CCGJ Finance Documents\"/>
    </mc:Choice>
  </mc:AlternateContent>
  <xr:revisionPtr revIDLastSave="0" documentId="8_{859E3176-0108-4AAA-ADD5-31A8C3ED2D0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Qtr 3 SOA BVA" sheetId="2" r:id="rId1"/>
    <sheet name="Qtr 2 SOA Bva" sheetId="1" r:id="rId2"/>
  </sheets>
  <calcPr calcId="191029"/>
</workbook>
</file>

<file path=xl/calcChain.xml><?xml version="1.0" encoding="utf-8"?>
<calcChain xmlns="http://schemas.openxmlformats.org/spreadsheetml/2006/main">
  <c r="L17" i="2" l="1"/>
  <c r="L18" i="2"/>
  <c r="L19" i="2"/>
  <c r="L16" i="2"/>
  <c r="L9" i="2"/>
  <c r="L10" i="2"/>
  <c r="L8" i="2"/>
  <c r="J18" i="2"/>
  <c r="I18" i="2"/>
  <c r="I16" i="2"/>
  <c r="J8" i="2"/>
  <c r="I8" i="2"/>
  <c r="I9" i="2"/>
  <c r="D16" i="2"/>
  <c r="D19" i="2"/>
  <c r="D18" i="2"/>
  <c r="C16" i="2"/>
  <c r="C17" i="2"/>
  <c r="C18" i="2"/>
  <c r="C10" i="2"/>
  <c r="E8" i="2"/>
  <c r="F8" i="2" s="1"/>
  <c r="J21" i="2" l="1"/>
  <c r="I21" i="2"/>
  <c r="D21" i="2"/>
  <c r="C21" i="2"/>
  <c r="K19" i="2"/>
  <c r="E19" i="2"/>
  <c r="F19" i="2" s="1"/>
  <c r="K18" i="2"/>
  <c r="E18" i="2"/>
  <c r="F18" i="2" s="1"/>
  <c r="K17" i="2"/>
  <c r="E17" i="2"/>
  <c r="F17" i="2" s="1"/>
  <c r="K16" i="2"/>
  <c r="E16" i="2"/>
  <c r="F16" i="2" s="1"/>
  <c r="J13" i="2"/>
  <c r="I13" i="2"/>
  <c r="D13" i="2"/>
  <c r="K11" i="2"/>
  <c r="L11" i="2" s="1"/>
  <c r="E11" i="2"/>
  <c r="F11" i="2" s="1"/>
  <c r="K10" i="2"/>
  <c r="E10" i="2"/>
  <c r="F10" i="2" s="1"/>
  <c r="K9" i="2"/>
  <c r="E9" i="2"/>
  <c r="K8" i="2"/>
  <c r="J23" i="2" l="1"/>
  <c r="K21" i="2"/>
  <c r="I23" i="2"/>
  <c r="K13" i="2"/>
  <c r="D23" i="2"/>
  <c r="E21" i="2"/>
  <c r="E13" i="2"/>
  <c r="C13" i="2"/>
  <c r="C23" i="2" s="1"/>
  <c r="J21" i="1"/>
  <c r="I21" i="1"/>
  <c r="L19" i="1"/>
  <c r="K19" i="1"/>
  <c r="L18" i="1"/>
  <c r="K18" i="1"/>
  <c r="L17" i="1"/>
  <c r="K17" i="1"/>
  <c r="K21" i="1" s="1"/>
  <c r="L16" i="1"/>
  <c r="K16" i="1"/>
  <c r="J13" i="1"/>
  <c r="I13" i="1"/>
  <c r="I23" i="1" s="1"/>
  <c r="L11" i="1"/>
  <c r="K11" i="1"/>
  <c r="L10" i="1"/>
  <c r="K10" i="1"/>
  <c r="L9" i="1"/>
  <c r="K9" i="1"/>
  <c r="L8" i="1"/>
  <c r="K8" i="1"/>
  <c r="K13" i="1" s="1"/>
  <c r="C8" i="1"/>
  <c r="J23" i="1"/>
  <c r="D21" i="1"/>
  <c r="D23" i="1"/>
  <c r="C21" i="1"/>
  <c r="D13" i="1"/>
  <c r="C13" i="1"/>
  <c r="F19" i="1"/>
  <c r="F18" i="1"/>
  <c r="F17" i="1"/>
  <c r="F16" i="1"/>
  <c r="F11" i="1"/>
  <c r="F10" i="1"/>
  <c r="F9" i="1"/>
  <c r="E19" i="1"/>
  <c r="E18" i="1"/>
  <c r="E21" i="1" s="1"/>
  <c r="E17" i="1"/>
  <c r="E16" i="1"/>
  <c r="E11" i="1"/>
  <c r="E10" i="1"/>
  <c r="E9" i="1"/>
  <c r="F8" i="1"/>
  <c r="E8" i="1"/>
  <c r="E13" i="1" s="1"/>
  <c r="C23" i="1"/>
  <c r="K23" i="2" l="1"/>
  <c r="E23" i="2"/>
  <c r="K23" i="1"/>
  <c r="E23" i="1"/>
</calcChain>
</file>

<file path=xl/sharedStrings.xml><?xml version="1.0" encoding="utf-8"?>
<sst xmlns="http://schemas.openxmlformats.org/spreadsheetml/2006/main" count="107" uniqueCount="45">
  <si>
    <t>Cultural Council of Greater Jacksonville, Inc.</t>
  </si>
  <si>
    <t>Actual</t>
  </si>
  <si>
    <t>Budget</t>
  </si>
  <si>
    <t>Variance</t>
  </si>
  <si>
    <t>% of Budget</t>
  </si>
  <si>
    <t>Income</t>
  </si>
  <si>
    <t>For quarter ending March 31, 2020</t>
  </si>
  <si>
    <t>Total Fed/State/Local Govt</t>
  </si>
  <si>
    <t>Total Programs</t>
  </si>
  <si>
    <t>Total Contributions/Donations</t>
  </si>
  <si>
    <t>Interest</t>
  </si>
  <si>
    <t>TOTAL INCOME</t>
  </si>
  <si>
    <t>Expenses</t>
  </si>
  <si>
    <t>Total Program/Fundraising</t>
  </si>
  <si>
    <t>Total Facility</t>
  </si>
  <si>
    <t>Total General &amp; Administrative</t>
  </si>
  <si>
    <t>Total Payroll</t>
  </si>
  <si>
    <t>TOTAL EXPENSES</t>
  </si>
  <si>
    <t>Qtr 2</t>
  </si>
  <si>
    <r>
      <t>NET INCOME/</t>
    </r>
    <r>
      <rPr>
        <b/>
        <sz val="11"/>
        <color indexed="10"/>
        <rFont val="Calibri"/>
        <family val="2"/>
      </rPr>
      <t>LOSS</t>
    </r>
  </si>
  <si>
    <t>YTD</t>
  </si>
  <si>
    <t>This includes rent and property insurance costs, which increased for FY 19-20.</t>
  </si>
  <si>
    <t>Subscriptions for new software and software updates: Weebly, New Quickbooks, Adobe, Google, Foundant, Techsoup, Memberworks, etc.</t>
  </si>
  <si>
    <t>NOTES</t>
  </si>
  <si>
    <t xml:space="preserve">Payouts to Artists from Art See &amp; Shop Fundraising/Event. </t>
  </si>
  <si>
    <t>Fewer Individual Donations/Board Dues Received this Quarter.</t>
  </si>
  <si>
    <t>Timing of COJ &amp; State Grant. COJ funds arrive quarterly - Next reimbursements May-June/Oct-Nov. State funds have all been received. Next State disbursement will be August 2020.</t>
  </si>
  <si>
    <t>Statement of Activites Budget versus Actual</t>
  </si>
  <si>
    <t>General</t>
  </si>
  <si>
    <t>Red = under/below budget</t>
  </si>
  <si>
    <t>Unfilled positions, salary savings, and timing of hires.</t>
  </si>
  <si>
    <t>Income from ArtSee&amp;Shop and Public Art</t>
  </si>
  <si>
    <t>1 &amp; 5</t>
  </si>
  <si>
    <t>Same as number 1 - and  no additional funding</t>
  </si>
  <si>
    <t>Reduced usage of facilities</t>
  </si>
  <si>
    <t>Addition of new employee prior to May staff reductions</t>
  </si>
  <si>
    <t>1,  5 and 8</t>
  </si>
  <si>
    <t>For month ending April 30, 2020</t>
  </si>
  <si>
    <t>Payouts to Artists for Public Art &amp; Grants to Artists</t>
  </si>
  <si>
    <t>EBS Budget Revision, PPP, and Grants</t>
  </si>
  <si>
    <t>Insurance renewals</t>
  </si>
  <si>
    <t xml:space="preserve">YTD </t>
  </si>
  <si>
    <t>Actual for April</t>
  </si>
  <si>
    <r>
      <t>NET INCOME/</t>
    </r>
    <r>
      <rPr>
        <b/>
        <sz val="11"/>
        <color indexed="10"/>
        <rFont val="Calibri"/>
        <family val="2"/>
      </rPr>
      <t>LOSS</t>
    </r>
    <r>
      <rPr>
        <b/>
        <sz val="11"/>
        <color theme="1"/>
        <rFont val="Calibri"/>
        <family val="2"/>
        <scheme val="minor"/>
      </rPr>
      <t xml:space="preserve"> 11</t>
    </r>
  </si>
  <si>
    <t>Timing of COJ funds arrive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</si>
</sst>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9" fontId="2" fillId="0" borderId="0" xfId="2" applyFont="1"/>
    <xf numFmtId="44" fontId="2" fillId="0" borderId="0" xfId="1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8" fontId="3" fillId="0" borderId="1" xfId="1" applyNumberFormat="1" applyFont="1" applyBorder="1"/>
    <xf numFmtId="8" fontId="2" fillId="0" borderId="0" xfId="1" applyNumberFormat="1" applyFont="1" applyAlignment="1">
      <alignment horizontal="left" vertical="center" indent="1"/>
    </xf>
    <xf numFmtId="8" fontId="3" fillId="0" borderId="1" xfId="1" applyNumberFormat="1" applyFont="1" applyBorder="1" applyAlignment="1">
      <alignment horizontal="left" vertical="center" inden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/>
    <xf numFmtId="0" fontId="0" fillId="2" borderId="0" xfId="0" applyFill="1"/>
    <xf numFmtId="0" fontId="0" fillId="2" borderId="0" xfId="0" applyFill="1" applyAlignment="1">
      <alignment wrapText="1"/>
    </xf>
    <xf numFmtId="44" fontId="2" fillId="2" borderId="1" xfId="1" applyFont="1" applyFill="1" applyBorder="1"/>
    <xf numFmtId="8" fontId="2" fillId="2" borderId="1" xfId="1" applyNumberFormat="1" applyFont="1" applyFill="1" applyBorder="1" applyAlignment="1">
      <alignment horizontal="left" vertical="center" indent="1"/>
    </xf>
    <xf numFmtId="0" fontId="0" fillId="2" borderId="2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ill="1" applyBorder="1"/>
    <xf numFmtId="0" fontId="0" fillId="4" borderId="0" xfId="0" applyFill="1"/>
    <xf numFmtId="0" fontId="0" fillId="4" borderId="0" xfId="0" applyFill="1" applyAlignment="1">
      <alignment wrapText="1"/>
    </xf>
    <xf numFmtId="8" fontId="2" fillId="4" borderId="0" xfId="1" applyNumberFormat="1" applyFont="1" applyFill="1" applyAlignment="1">
      <alignment horizontal="left" vertical="center" indent="1"/>
    </xf>
    <xf numFmtId="0" fontId="0" fillId="4" borderId="2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44" fontId="2" fillId="0" borderId="0" xfId="1" applyFont="1" applyAlignment="1">
      <alignment wrapText="1"/>
    </xf>
    <xf numFmtId="44" fontId="2" fillId="2" borderId="1" xfId="1" applyFont="1" applyFill="1" applyBorder="1" applyAlignment="1">
      <alignment wrapText="1"/>
    </xf>
    <xf numFmtId="8" fontId="3" fillId="0" borderId="1" xfId="1" applyNumberFormat="1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4" fontId="0" fillId="0" borderId="0" xfId="0" applyNumberFormat="1"/>
    <xf numFmtId="164" fontId="2" fillId="0" borderId="0" xfId="1" applyNumberFormat="1" applyFont="1"/>
    <xf numFmtId="164" fontId="2" fillId="0" borderId="0" xfId="1" applyNumberFormat="1" applyFont="1" applyAlignment="1">
      <alignment horizontal="left" vertical="center" indent="1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left" vertical="center" indent="1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left" vertical="center" indent="1"/>
    </xf>
    <xf numFmtId="164" fontId="2" fillId="0" borderId="0" xfId="1" applyNumberFormat="1" applyFont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4" borderId="0" xfId="0" applyNumberFormat="1" applyFill="1"/>
    <xf numFmtId="164" fontId="0" fillId="4" borderId="0" xfId="0" applyNumberFormat="1" applyFill="1" applyAlignment="1">
      <alignment wrapText="1"/>
    </xf>
    <xf numFmtId="164" fontId="2" fillId="4" borderId="0" xfId="1" applyNumberFormat="1" applyFont="1" applyFill="1" applyAlignment="1">
      <alignment horizontal="left" vertical="center" indent="1"/>
    </xf>
    <xf numFmtId="164" fontId="3" fillId="0" borderId="1" xfId="1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5154-9B37-463D-867C-58DE965B390C}">
  <sheetPr>
    <pageSetUpPr fitToPage="1"/>
  </sheetPr>
  <dimension ref="A1:L37"/>
  <sheetViews>
    <sheetView tabSelected="1" workbookViewId="0">
      <selection activeCell="C11" sqref="C11"/>
    </sheetView>
  </sheetViews>
  <sheetFormatPr defaultColWidth="8.85546875" defaultRowHeight="15" x14ac:dyDescent="0.25"/>
  <cols>
    <col min="1" max="1" width="14.85546875" style="8" customWidth="1"/>
    <col min="2" max="2" width="25.7109375" style="9" customWidth="1"/>
    <col min="3" max="3" width="16.28515625" style="8" customWidth="1"/>
    <col min="4" max="4" width="19.28515625" style="8" customWidth="1"/>
    <col min="5" max="5" width="17.28515625" style="8" bestFit="1" customWidth="1"/>
    <col min="6" max="6" width="8.85546875" style="8"/>
    <col min="7" max="7" width="9.85546875" style="10" customWidth="1"/>
    <col min="8" max="8" width="26.5703125" style="9" customWidth="1"/>
    <col min="9" max="9" width="16" style="8" customWidth="1"/>
    <col min="10" max="10" width="17.28515625" style="9" customWidth="1"/>
    <col min="11" max="11" width="19.85546875" style="8" customWidth="1"/>
    <col min="12" max="12" width="8.85546875" style="8"/>
    <col min="13" max="13" width="11.7109375" style="8" customWidth="1"/>
    <col min="14" max="16384" width="8.85546875" style="8"/>
  </cols>
  <sheetData>
    <row r="1" spans="1:12" x14ac:dyDescent="0.25">
      <c r="A1" s="8" t="s">
        <v>0</v>
      </c>
    </row>
    <row r="2" spans="1:12" x14ac:dyDescent="0.25">
      <c r="A2" s="8" t="s">
        <v>27</v>
      </c>
    </row>
    <row r="3" spans="1:12" x14ac:dyDescent="0.25">
      <c r="A3" s="8" t="s">
        <v>37</v>
      </c>
    </row>
    <row r="5" spans="1:12" x14ac:dyDescent="0.25">
      <c r="C5" s="56" t="s">
        <v>42</v>
      </c>
      <c r="D5" s="57"/>
      <c r="E5" s="57"/>
      <c r="F5" s="58"/>
      <c r="I5" s="56" t="s">
        <v>41</v>
      </c>
      <c r="J5" s="59"/>
      <c r="K5" s="59"/>
      <c r="L5" s="60"/>
    </row>
    <row r="6" spans="1:12" ht="30" x14ac:dyDescent="0.25">
      <c r="A6" s="35" t="s">
        <v>23</v>
      </c>
      <c r="C6" s="8" t="s">
        <v>1</v>
      </c>
      <c r="D6" s="8" t="s">
        <v>2</v>
      </c>
      <c r="E6" s="8" t="s">
        <v>3</v>
      </c>
      <c r="F6" s="4" t="s">
        <v>4</v>
      </c>
      <c r="G6" s="34" t="s">
        <v>23</v>
      </c>
      <c r="I6" s="8" t="s">
        <v>1</v>
      </c>
      <c r="J6" s="9" t="s">
        <v>2</v>
      </c>
      <c r="K6" s="8" t="s">
        <v>3</v>
      </c>
      <c r="L6" s="4" t="s">
        <v>4</v>
      </c>
    </row>
    <row r="7" spans="1:12" s="17" customFormat="1" x14ac:dyDescent="0.25">
      <c r="A7" s="17" t="s">
        <v>5</v>
      </c>
      <c r="B7" s="18"/>
      <c r="G7" s="19" t="s">
        <v>5</v>
      </c>
      <c r="H7" s="18"/>
      <c r="J7" s="18"/>
    </row>
    <row r="8" spans="1:12" x14ac:dyDescent="0.25">
      <c r="A8" s="24">
        <v>1</v>
      </c>
      <c r="B8" s="25" t="s">
        <v>7</v>
      </c>
      <c r="C8" s="40">
        <v>754355</v>
      </c>
      <c r="D8" s="40">
        <v>246852</v>
      </c>
      <c r="E8" s="41">
        <f>ROUND((C8-D8),5)</f>
        <v>507503</v>
      </c>
      <c r="F8" s="1">
        <f>E8/C8</f>
        <v>0.67276414950520647</v>
      </c>
      <c r="G8" s="32">
        <v>5</v>
      </c>
      <c r="H8" s="9" t="s">
        <v>7</v>
      </c>
      <c r="I8" s="40">
        <f>2273434.98</f>
        <v>2273434.98</v>
      </c>
      <c r="J8" s="46">
        <f>1778562.94+19397.56</f>
        <v>1797960.5</v>
      </c>
      <c r="K8" s="41">
        <f>ROUND((I8-J8),5)</f>
        <v>475474.48</v>
      </c>
      <c r="L8" s="1">
        <f>K8/I8</f>
        <v>0.20914364570919022</v>
      </c>
    </row>
    <row r="9" spans="1:12" x14ac:dyDescent="0.25">
      <c r="A9" s="24">
        <v>2</v>
      </c>
      <c r="B9" s="25" t="s">
        <v>8</v>
      </c>
      <c r="C9" s="40">
        <v>0</v>
      </c>
      <c r="D9" s="40">
        <v>15000</v>
      </c>
      <c r="E9" s="41">
        <f>ROUND((C9-D9),5)</f>
        <v>-15000</v>
      </c>
      <c r="F9" s="1">
        <v>0</v>
      </c>
      <c r="H9" s="9" t="s">
        <v>8</v>
      </c>
      <c r="I9" s="40">
        <f>128711.33</f>
        <v>128711.33</v>
      </c>
      <c r="J9" s="46">
        <v>90430.09</v>
      </c>
      <c r="K9" s="41">
        <f>ROUND((I9-J9),5)</f>
        <v>38281.24</v>
      </c>
      <c r="L9" s="1">
        <f t="shared" ref="L9:L11" si="0">K9/I9</f>
        <v>0.29741934917462198</v>
      </c>
    </row>
    <row r="10" spans="1:12" ht="30" x14ac:dyDescent="0.25">
      <c r="A10" s="24">
        <v>3</v>
      </c>
      <c r="B10" s="25" t="s">
        <v>9</v>
      </c>
      <c r="C10" s="40">
        <f>2465+450+1332</f>
        <v>4247</v>
      </c>
      <c r="D10" s="40">
        <v>15419</v>
      </c>
      <c r="E10" s="41">
        <f>ROUND((C10-D10),5)</f>
        <v>-11172</v>
      </c>
      <c r="F10" s="1">
        <f t="shared" ref="F10:F11" si="1">E10/C10</f>
        <v>-2.6305627501765954</v>
      </c>
      <c r="H10" s="9" t="s">
        <v>9</v>
      </c>
      <c r="I10" s="40">
        <v>73106.44</v>
      </c>
      <c r="J10" s="46">
        <v>52500</v>
      </c>
      <c r="K10" s="41">
        <f>ROUND((I10-J10),5)</f>
        <v>20606.439999999999</v>
      </c>
      <c r="L10" s="1">
        <f t="shared" si="0"/>
        <v>0.28186901181345991</v>
      </c>
    </row>
    <row r="11" spans="1:12" x14ac:dyDescent="0.25">
      <c r="B11" s="25" t="s">
        <v>10</v>
      </c>
      <c r="C11" s="40">
        <v>247</v>
      </c>
      <c r="D11" s="40">
        <v>83</v>
      </c>
      <c r="E11" s="41">
        <f>ROUND((C11-D11),5)</f>
        <v>164</v>
      </c>
      <c r="F11" s="1">
        <f t="shared" si="1"/>
        <v>0.66396761133603244</v>
      </c>
      <c r="H11" s="9" t="s">
        <v>10</v>
      </c>
      <c r="I11" s="40">
        <v>2925</v>
      </c>
      <c r="J11" s="46">
        <v>587</v>
      </c>
      <c r="K11" s="41">
        <f>ROUND((I11-J11),5)</f>
        <v>2338</v>
      </c>
      <c r="L11" s="1">
        <f t="shared" si="0"/>
        <v>0.7993162393162393</v>
      </c>
    </row>
    <row r="12" spans="1:12" x14ac:dyDescent="0.25">
      <c r="C12" s="40"/>
      <c r="D12" s="40"/>
      <c r="E12" s="41"/>
      <c r="I12" s="40"/>
      <c r="J12" s="46"/>
      <c r="K12" s="41"/>
    </row>
    <row r="13" spans="1:12" s="12" customFormat="1" ht="15.75" thickBot="1" x14ac:dyDescent="0.3">
      <c r="A13" s="12" t="s">
        <v>11</v>
      </c>
      <c r="B13" s="13"/>
      <c r="C13" s="42">
        <f>SUM(C8:C12)</f>
        <v>758849</v>
      </c>
      <c r="D13" s="42">
        <f>SUM(D8:D12)</f>
        <v>277354</v>
      </c>
      <c r="E13" s="43">
        <f>SUM(E8:E12)</f>
        <v>481495</v>
      </c>
      <c r="G13" s="16" t="s">
        <v>11</v>
      </c>
      <c r="H13" s="13"/>
      <c r="I13" s="42">
        <f>SUM(I8:I12)</f>
        <v>2478177.75</v>
      </c>
      <c r="J13" s="47">
        <f>SUM(J8:J12)</f>
        <v>1941477.59</v>
      </c>
      <c r="K13" s="43">
        <f>SUM(K8:K12)</f>
        <v>536700.15999999992</v>
      </c>
    </row>
    <row r="14" spans="1:12" ht="15.75" thickTop="1" x14ac:dyDescent="0.25">
      <c r="E14" s="6"/>
      <c r="I14" s="48"/>
      <c r="J14" s="49"/>
      <c r="K14" s="41"/>
    </row>
    <row r="15" spans="1:12" s="20" customFormat="1" x14ac:dyDescent="0.25">
      <c r="A15" s="20" t="s">
        <v>12</v>
      </c>
      <c r="B15" s="21"/>
      <c r="E15" s="22"/>
      <c r="G15" s="23" t="s">
        <v>12</v>
      </c>
      <c r="H15" s="21"/>
      <c r="I15" s="50"/>
      <c r="J15" s="51"/>
      <c r="K15" s="52"/>
    </row>
    <row r="16" spans="1:12" x14ac:dyDescent="0.25">
      <c r="A16" s="24">
        <v>4</v>
      </c>
      <c r="B16" s="25" t="s">
        <v>13</v>
      </c>
      <c r="C16" s="40">
        <f>120000</f>
        <v>120000</v>
      </c>
      <c r="D16" s="40">
        <f>223789+5100</f>
        <v>228889</v>
      </c>
      <c r="E16" s="41">
        <f>ROUND((C16-D16),5)</f>
        <v>-108889</v>
      </c>
      <c r="F16" s="1">
        <f t="shared" ref="F16:F19" si="2">E16/C16</f>
        <v>-0.90740833333333337</v>
      </c>
      <c r="G16" s="55"/>
      <c r="H16" s="25" t="s">
        <v>13</v>
      </c>
      <c r="I16" s="40">
        <f>1500226.9+8966.31</f>
        <v>1509193.21</v>
      </c>
      <c r="J16" s="46">
        <v>1596224.18</v>
      </c>
      <c r="K16" s="41">
        <f>ROUND((I16-J16),5)</f>
        <v>-87030.97</v>
      </c>
      <c r="L16" s="1">
        <f t="shared" ref="L16:L19" si="3">K16/I16</f>
        <v>-5.7667215452155397E-2</v>
      </c>
    </row>
    <row r="17" spans="1:12" x14ac:dyDescent="0.25">
      <c r="A17" s="54">
        <v>6</v>
      </c>
      <c r="B17" s="25" t="s">
        <v>14</v>
      </c>
      <c r="C17" s="40">
        <f>2356</f>
        <v>2356</v>
      </c>
      <c r="D17" s="40">
        <v>2521</v>
      </c>
      <c r="E17" s="41">
        <f>ROUND((C17-D17),5)</f>
        <v>-165</v>
      </c>
      <c r="F17" s="1">
        <f t="shared" si="2"/>
        <v>-7.0033955857385394E-2</v>
      </c>
      <c r="G17" s="32">
        <v>9</v>
      </c>
      <c r="H17" s="9" t="s">
        <v>14</v>
      </c>
      <c r="I17" s="40">
        <v>21624.51</v>
      </c>
      <c r="J17" s="46">
        <v>17645.2</v>
      </c>
      <c r="K17" s="41">
        <f>ROUND((I17-J17),5)</f>
        <v>3979.31</v>
      </c>
      <c r="L17" s="1">
        <f t="shared" si="3"/>
        <v>0.18401850492797295</v>
      </c>
    </row>
    <row r="18" spans="1:12" ht="30" x14ac:dyDescent="0.25">
      <c r="A18" s="54">
        <v>7</v>
      </c>
      <c r="B18" s="25" t="s">
        <v>15</v>
      </c>
      <c r="C18" s="40">
        <f>4496+7801</f>
        <v>12297</v>
      </c>
      <c r="D18" s="40">
        <f>7100+2160</f>
        <v>9260</v>
      </c>
      <c r="E18" s="41">
        <f>ROUND((C18-D18),5)</f>
        <v>3037</v>
      </c>
      <c r="F18" s="1">
        <f t="shared" si="2"/>
        <v>0.24697080588761486</v>
      </c>
      <c r="G18" s="32"/>
      <c r="H18" s="9" t="s">
        <v>15</v>
      </c>
      <c r="I18" s="40">
        <f>462.45+57371.07+17754.86+1470.44</f>
        <v>77058.820000000007</v>
      </c>
      <c r="J18" s="46">
        <f>1225+49700.05+9835.01+4060+7000</f>
        <v>71820.06</v>
      </c>
      <c r="K18" s="41">
        <f>ROUND((I18-J18),5)</f>
        <v>5238.76</v>
      </c>
      <c r="L18" s="1">
        <f t="shared" si="3"/>
        <v>6.7983911510713507E-2</v>
      </c>
    </row>
    <row r="19" spans="1:12" x14ac:dyDescent="0.25">
      <c r="A19" s="54">
        <v>8</v>
      </c>
      <c r="B19" s="25" t="s">
        <v>16</v>
      </c>
      <c r="C19" s="40">
        <v>42525</v>
      </c>
      <c r="D19" s="40">
        <f>32788</f>
        <v>32788</v>
      </c>
      <c r="E19" s="41">
        <f>ROUND((C19-D19),5)</f>
        <v>9737</v>
      </c>
      <c r="F19" s="1">
        <f t="shared" si="2"/>
        <v>0.22897119341563785</v>
      </c>
      <c r="G19" s="32">
        <v>10</v>
      </c>
      <c r="H19" s="9" t="s">
        <v>16</v>
      </c>
      <c r="I19" s="40">
        <v>270301</v>
      </c>
      <c r="J19" s="46">
        <v>275240.5</v>
      </c>
      <c r="K19" s="41">
        <f>ROUND((I19-J19),5)</f>
        <v>-4939.5</v>
      </c>
      <c r="L19" s="1">
        <f t="shared" si="3"/>
        <v>-1.8274072237986543E-2</v>
      </c>
    </row>
    <row r="20" spans="1:12" x14ac:dyDescent="0.25">
      <c r="C20" s="40"/>
      <c r="D20" s="40"/>
      <c r="E20" s="41"/>
      <c r="I20" s="40"/>
      <c r="J20" s="46"/>
      <c r="K20" s="41"/>
    </row>
    <row r="21" spans="1:12" s="12" customFormat="1" ht="15.75" thickBot="1" x14ac:dyDescent="0.3">
      <c r="A21" s="12" t="s">
        <v>17</v>
      </c>
      <c r="B21" s="13"/>
      <c r="C21" s="42">
        <f>SUM(C16:C20)</f>
        <v>177178</v>
      </c>
      <c r="D21" s="42">
        <f>SUM(D16:D20)</f>
        <v>273458</v>
      </c>
      <c r="E21" s="43">
        <f>SUM(E16:E20)</f>
        <v>-96280</v>
      </c>
      <c r="G21" s="16" t="s">
        <v>17</v>
      </c>
      <c r="H21" s="13"/>
      <c r="I21" s="42">
        <f>SUM(I16:I20)</f>
        <v>1878177.54</v>
      </c>
      <c r="J21" s="47">
        <f>SUM(J16:J20)</f>
        <v>1960929.94</v>
      </c>
      <c r="K21" s="43">
        <f>SUM(K16:K20)</f>
        <v>-82752.400000000009</v>
      </c>
    </row>
    <row r="22" spans="1:12" ht="15.75" thickTop="1" x14ac:dyDescent="0.25">
      <c r="C22" s="40"/>
      <c r="D22" s="40"/>
      <c r="E22" s="41"/>
      <c r="I22" s="40"/>
      <c r="J22" s="46"/>
      <c r="K22" s="41"/>
    </row>
    <row r="23" spans="1:12" ht="15.75" thickBot="1" x14ac:dyDescent="0.3">
      <c r="A23" s="3" t="s">
        <v>19</v>
      </c>
      <c r="C23" s="44">
        <f>C13-C21</f>
        <v>581671</v>
      </c>
      <c r="D23" s="44">
        <f>D13-D21</f>
        <v>3896</v>
      </c>
      <c r="E23" s="45">
        <f>E13-E21</f>
        <v>577775</v>
      </c>
      <c r="G23" s="11" t="s">
        <v>43</v>
      </c>
      <c r="I23" s="44">
        <f>I13-I21</f>
        <v>600000.21</v>
      </c>
      <c r="J23" s="53">
        <f>J13-J21</f>
        <v>-19452.34999999986</v>
      </c>
      <c r="K23" s="45">
        <f>K13-K21</f>
        <v>619452.55999999994</v>
      </c>
    </row>
    <row r="24" spans="1:12" ht="15.75" thickTop="1" x14ac:dyDescent="0.25">
      <c r="I24" s="31"/>
      <c r="J24" s="31"/>
    </row>
    <row r="26" spans="1:12" ht="15.75" x14ac:dyDescent="0.25">
      <c r="A26" s="33" t="s">
        <v>23</v>
      </c>
      <c r="B26" s="36"/>
      <c r="I26" s="39"/>
    </row>
    <row r="27" spans="1:12" ht="31.5" x14ac:dyDescent="0.25">
      <c r="A27" s="33" t="s">
        <v>28</v>
      </c>
      <c r="B27" s="36" t="s">
        <v>29</v>
      </c>
    </row>
    <row r="28" spans="1:12" ht="126" x14ac:dyDescent="0.25">
      <c r="A28" s="37" t="s">
        <v>36</v>
      </c>
      <c r="B28" s="38" t="s">
        <v>26</v>
      </c>
    </row>
    <row r="29" spans="1:12" ht="31.5" x14ac:dyDescent="0.25">
      <c r="A29" s="37">
        <v>2</v>
      </c>
      <c r="B29" s="38" t="s">
        <v>33</v>
      </c>
      <c r="I29" s="39"/>
    </row>
    <row r="30" spans="1:12" ht="47.25" x14ac:dyDescent="0.25">
      <c r="A30" s="37">
        <v>3</v>
      </c>
      <c r="B30" s="38" t="s">
        <v>25</v>
      </c>
    </row>
    <row r="31" spans="1:12" ht="47.25" x14ac:dyDescent="0.25">
      <c r="A31" s="37">
        <v>4</v>
      </c>
      <c r="B31" s="38" t="s">
        <v>38</v>
      </c>
    </row>
    <row r="32" spans="1:12" ht="31.5" x14ac:dyDescent="0.25">
      <c r="A32" s="37">
        <v>6</v>
      </c>
      <c r="B32" s="38" t="s">
        <v>34</v>
      </c>
    </row>
    <row r="33" spans="1:2" ht="31.5" x14ac:dyDescent="0.25">
      <c r="A33" s="37">
        <v>7</v>
      </c>
      <c r="B33" s="38" t="s">
        <v>39</v>
      </c>
    </row>
    <row r="34" spans="1:2" ht="47.25" x14ac:dyDescent="0.25">
      <c r="A34" s="37">
        <v>8</v>
      </c>
      <c r="B34" s="38" t="s">
        <v>35</v>
      </c>
    </row>
    <row r="35" spans="1:2" ht="15.75" x14ac:dyDescent="0.25">
      <c r="A35" s="37">
        <v>9</v>
      </c>
      <c r="B35" s="38" t="s">
        <v>40</v>
      </c>
    </row>
    <row r="36" spans="1:2" ht="47.25" x14ac:dyDescent="0.25">
      <c r="A36" s="61">
        <v>10</v>
      </c>
      <c r="B36" s="36" t="s">
        <v>30</v>
      </c>
    </row>
    <row r="37" spans="1:2" ht="30" x14ac:dyDescent="0.25">
      <c r="A37" s="37">
        <v>11</v>
      </c>
      <c r="B37" s="9" t="s">
        <v>44</v>
      </c>
    </row>
  </sheetData>
  <mergeCells count="2">
    <mergeCell ref="C5:F5"/>
    <mergeCell ref="I5:L5"/>
  </mergeCells>
  <conditionalFormatting sqref="E8:E23">
    <cfRule type="iconSet" priority="2">
      <iconSet iconSet="3Arrows">
        <cfvo type="percent" val="0"/>
        <cfvo type="num" val="0"/>
        <cfvo type="num" val="1"/>
      </iconSet>
    </cfRule>
  </conditionalFormatting>
  <conditionalFormatting sqref="K8:K23">
    <cfRule type="iconSet" priority="1">
      <iconSet iconSet="3Arrows">
        <cfvo type="percent" val="0"/>
        <cfvo type="num" val="0"/>
        <cfvo type="num" val="1"/>
      </iconSet>
    </cfRule>
  </conditionalFormatting>
  <pageMargins left="0.25" right="0.25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opLeftCell="A17" workbookViewId="0">
      <selection activeCell="B34" sqref="B34"/>
    </sheetView>
  </sheetViews>
  <sheetFormatPr defaultRowHeight="15" x14ac:dyDescent="0.25"/>
  <cols>
    <col min="1" max="1" width="14.85546875" customWidth="1"/>
    <col min="2" max="2" width="25.7109375" style="9" customWidth="1"/>
    <col min="3" max="3" width="16.28515625" customWidth="1"/>
    <col min="4" max="4" width="19.28515625" customWidth="1"/>
    <col min="5" max="5" width="17.28515625" bestFit="1" customWidth="1"/>
    <col min="7" max="7" width="9.85546875" style="10" customWidth="1"/>
    <col min="8" max="8" width="26.5703125" style="9" customWidth="1"/>
    <col min="9" max="9" width="16" customWidth="1"/>
    <col min="10" max="10" width="17.28515625" style="9" customWidth="1"/>
    <col min="11" max="11" width="19.85546875" customWidth="1"/>
    <col min="13" max="13" width="11.7109375" customWidth="1"/>
  </cols>
  <sheetData>
    <row r="1" spans="1:12" x14ac:dyDescent="0.25">
      <c r="A1" t="s">
        <v>0</v>
      </c>
    </row>
    <row r="2" spans="1:12" x14ac:dyDescent="0.25">
      <c r="A2" t="s">
        <v>27</v>
      </c>
    </row>
    <row r="3" spans="1:12" x14ac:dyDescent="0.25">
      <c r="A3" t="s">
        <v>6</v>
      </c>
    </row>
    <row r="5" spans="1:12" x14ac:dyDescent="0.25">
      <c r="C5" s="56" t="s">
        <v>18</v>
      </c>
      <c r="D5" s="57"/>
      <c r="E5" s="57"/>
      <c r="F5" s="58"/>
      <c r="I5" s="56" t="s">
        <v>20</v>
      </c>
      <c r="J5" s="59"/>
      <c r="K5" s="59"/>
      <c r="L5" s="60"/>
    </row>
    <row r="6" spans="1:12" ht="30" x14ac:dyDescent="0.25">
      <c r="A6" s="35" t="s">
        <v>23</v>
      </c>
      <c r="C6" t="s">
        <v>1</v>
      </c>
      <c r="D6" t="s">
        <v>2</v>
      </c>
      <c r="E6" t="s">
        <v>3</v>
      </c>
      <c r="F6" s="4" t="s">
        <v>4</v>
      </c>
      <c r="G6" s="34" t="s">
        <v>23</v>
      </c>
      <c r="I6" t="s">
        <v>1</v>
      </c>
      <c r="J6" s="9" t="s">
        <v>2</v>
      </c>
      <c r="K6" t="s">
        <v>3</v>
      </c>
      <c r="L6" s="4" t="s">
        <v>4</v>
      </c>
    </row>
    <row r="7" spans="1:12" s="17" customFormat="1" x14ac:dyDescent="0.25">
      <c r="A7" s="17" t="s">
        <v>5</v>
      </c>
      <c r="B7" s="18"/>
      <c r="G7" s="19" t="s">
        <v>5</v>
      </c>
      <c r="H7" s="18"/>
      <c r="J7" s="18"/>
    </row>
    <row r="8" spans="1:12" x14ac:dyDescent="0.25">
      <c r="A8" s="24">
        <v>1</v>
      </c>
      <c r="B8" s="25" t="s">
        <v>7</v>
      </c>
      <c r="C8" s="2">
        <f>94783.25+13249.98</f>
        <v>108033.23</v>
      </c>
      <c r="D8" s="2">
        <v>114879.51</v>
      </c>
      <c r="E8" s="6">
        <f>ROUND((C8-D8),5)</f>
        <v>-6846.28</v>
      </c>
      <c r="F8" s="1">
        <f>ROUND(IF(D8=0, IF(C8=0, 0, 1), C8/D8),5)</f>
        <v>0.94040000000000001</v>
      </c>
      <c r="G8" s="32">
        <v>5</v>
      </c>
      <c r="H8" s="9" t="s">
        <v>7</v>
      </c>
      <c r="I8" s="2">
        <v>211652.88</v>
      </c>
      <c r="J8" s="28">
        <v>246385.46</v>
      </c>
      <c r="K8" s="6">
        <f>ROUND((I8-J8),5)</f>
        <v>-34732.58</v>
      </c>
      <c r="L8" s="1">
        <f>ROUND(IF(J8=0, IF(I8=0, 0, 1), I8/J8),5)</f>
        <v>0.85902999999999996</v>
      </c>
    </row>
    <row r="9" spans="1:12" x14ac:dyDescent="0.25">
      <c r="A9" s="24">
        <v>2</v>
      </c>
      <c r="B9" s="25" t="s">
        <v>8</v>
      </c>
      <c r="C9" s="2">
        <v>66060</v>
      </c>
      <c r="D9" s="2">
        <v>14999.97</v>
      </c>
      <c r="E9" s="6">
        <f>ROUND((C9-D9),5)</f>
        <v>51060.03</v>
      </c>
      <c r="F9" s="1">
        <f>ROUND(IF(D9=0, IF(C9=0, 0, 1), C9/D9),5)</f>
        <v>4.4040100000000004</v>
      </c>
      <c r="H9" s="9" t="s">
        <v>8</v>
      </c>
      <c r="I9" s="2">
        <v>127751.33</v>
      </c>
      <c r="J9" s="28">
        <v>107511.64</v>
      </c>
      <c r="K9" s="6">
        <f>ROUND((I9-J9),5)</f>
        <v>20239.689999999999</v>
      </c>
      <c r="L9" s="1">
        <f>ROUND(IF(J9=0, IF(I9=0, 0, 1), I9/J9),5)</f>
        <v>1.1882600000000001</v>
      </c>
    </row>
    <row r="10" spans="1:12" ht="30" x14ac:dyDescent="0.25">
      <c r="A10" s="24">
        <v>3</v>
      </c>
      <c r="B10" s="25" t="s">
        <v>9</v>
      </c>
      <c r="C10" s="2">
        <v>14912.29</v>
      </c>
      <c r="D10" s="2">
        <v>22503</v>
      </c>
      <c r="E10" s="6">
        <f>ROUND((C10-D10),5)</f>
        <v>-7590.71</v>
      </c>
      <c r="F10" s="1">
        <f>ROUND(IF(D10=0, IF(C10=0, 0, 1), C10/D10),5)</f>
        <v>0.66268000000000005</v>
      </c>
      <c r="H10" s="9" t="s">
        <v>9</v>
      </c>
      <c r="I10" s="2">
        <v>70100.95</v>
      </c>
      <c r="J10" s="28">
        <v>45006</v>
      </c>
      <c r="K10" s="6">
        <f>ROUND((I10-J10),5)</f>
        <v>25094.95</v>
      </c>
      <c r="L10" s="1">
        <f>ROUND(IF(J10=0, IF(I10=0, 0, 1), I10/J10),5)</f>
        <v>1.55759</v>
      </c>
    </row>
    <row r="11" spans="1:12" x14ac:dyDescent="0.25">
      <c r="B11" s="25" t="s">
        <v>10</v>
      </c>
      <c r="C11" s="2">
        <v>926.24</v>
      </c>
      <c r="D11" s="2">
        <v>249.99</v>
      </c>
      <c r="E11" s="6">
        <f>ROUND((C11-D11),5)</f>
        <v>676.25</v>
      </c>
      <c r="F11" s="1">
        <f>ROUND(IF(D11=0, IF(C11=0, 0, 1), C11/D11),5)</f>
        <v>3.7051099999999999</v>
      </c>
      <c r="H11" s="9" t="s">
        <v>10</v>
      </c>
      <c r="I11" s="2">
        <v>2342</v>
      </c>
      <c r="J11" s="28">
        <v>500.02</v>
      </c>
      <c r="K11" s="6">
        <f>ROUND((I11-J11),5)</f>
        <v>1841.98</v>
      </c>
      <c r="L11" s="1">
        <f>ROUND(IF(J11=0, IF(I11=0, 0, 1), I11/J11),5)</f>
        <v>4.6838100000000003</v>
      </c>
    </row>
    <row r="12" spans="1:12" x14ac:dyDescent="0.25">
      <c r="C12" s="2"/>
      <c r="D12" s="2"/>
      <c r="E12" s="6"/>
      <c r="I12" s="2"/>
      <c r="J12" s="28"/>
      <c r="K12" s="6"/>
    </row>
    <row r="13" spans="1:12" s="12" customFormat="1" ht="15.75" thickBot="1" x14ac:dyDescent="0.3">
      <c r="A13" s="12" t="s">
        <v>11</v>
      </c>
      <c r="B13" s="13"/>
      <c r="C13" s="14">
        <f>SUM(C8:C12)</f>
        <v>189931.75999999998</v>
      </c>
      <c r="D13" s="14">
        <f>SUM(D8:D12)</f>
        <v>152632.46999999997</v>
      </c>
      <c r="E13" s="15">
        <f>SUM(E8:E12)</f>
        <v>37299.29</v>
      </c>
      <c r="G13" s="16" t="s">
        <v>11</v>
      </c>
      <c r="H13" s="13"/>
      <c r="I13" s="14">
        <f>SUM(I8:I12)</f>
        <v>411847.16000000003</v>
      </c>
      <c r="J13" s="29">
        <f>SUM(J8:J12)</f>
        <v>399403.12</v>
      </c>
      <c r="K13" s="15">
        <f>SUM(K8:K12)</f>
        <v>12444.039999999997</v>
      </c>
    </row>
    <row r="14" spans="1:12" ht="15.75" thickTop="1" x14ac:dyDescent="0.25">
      <c r="E14" s="6"/>
      <c r="K14" s="6"/>
    </row>
    <row r="15" spans="1:12" s="20" customFormat="1" x14ac:dyDescent="0.25">
      <c r="A15" s="20" t="s">
        <v>12</v>
      </c>
      <c r="B15" s="21"/>
      <c r="E15" s="22"/>
      <c r="G15" s="23" t="s">
        <v>12</v>
      </c>
      <c r="H15" s="21"/>
      <c r="J15" s="21"/>
      <c r="K15" s="22"/>
    </row>
    <row r="16" spans="1:12" x14ac:dyDescent="0.25">
      <c r="A16" s="24">
        <v>4</v>
      </c>
      <c r="B16" s="25" t="s">
        <v>13</v>
      </c>
      <c r="C16" s="2">
        <v>28202.15</v>
      </c>
      <c r="D16" s="2">
        <v>9249.99</v>
      </c>
      <c r="E16" s="6">
        <f>ROUND((C16-D16),5)</f>
        <v>18952.16</v>
      </c>
      <c r="F16" s="1">
        <f>ROUND(IF(D16=0, IF(C16=0, 0, 1), C16/D16),5)</f>
        <v>3.04888</v>
      </c>
      <c r="H16" s="25" t="s">
        <v>13</v>
      </c>
      <c r="I16" s="2">
        <v>32005.5</v>
      </c>
      <c r="J16" s="28">
        <v>75611.5</v>
      </c>
      <c r="K16" s="6">
        <f>ROUND((I16-J16),5)</f>
        <v>-43606</v>
      </c>
      <c r="L16" s="1">
        <f>ROUND(IF(J16=0, IF(I16=0, 0, 1), I16/J16),5)</f>
        <v>0.42329</v>
      </c>
    </row>
    <row r="17" spans="1:12" x14ac:dyDescent="0.25">
      <c r="B17" s="25" t="s">
        <v>14</v>
      </c>
      <c r="C17" s="2">
        <v>6758.36</v>
      </c>
      <c r="D17" s="2">
        <v>7749.78</v>
      </c>
      <c r="E17" s="6">
        <f>ROUND((C17-D17),5)</f>
        <v>-991.42</v>
      </c>
      <c r="F17" s="1">
        <f>ROUND(IF(D17=0, IF(C17=0, 0, 1), C17/D17),5)</f>
        <v>0.87207000000000001</v>
      </c>
      <c r="G17" s="32">
        <v>6</v>
      </c>
      <c r="H17" s="9" t="s">
        <v>14</v>
      </c>
      <c r="I17" s="2">
        <v>19268.099999999999</v>
      </c>
      <c r="J17" s="28">
        <v>15499.44</v>
      </c>
      <c r="K17" s="6">
        <f>ROUND((I17-J17),5)</f>
        <v>3768.66</v>
      </c>
      <c r="L17" s="1">
        <f>ROUND(IF(J17=0, IF(I17=0, 0, 1), I17/J17),5)</f>
        <v>1.24315</v>
      </c>
    </row>
    <row r="18" spans="1:12" ht="30" x14ac:dyDescent="0.25">
      <c r="B18" s="25" t="s">
        <v>15</v>
      </c>
      <c r="C18" s="2">
        <v>5397.22</v>
      </c>
      <c r="D18" s="2">
        <v>8157.53</v>
      </c>
      <c r="E18" s="6">
        <f>ROUND((C18-D18),5)</f>
        <v>-2760.31</v>
      </c>
      <c r="F18" s="1">
        <f>ROUND(IF(D18=0, IF(C18=0, 0, 1), C18/D18),5)</f>
        <v>0.66161999999999999</v>
      </c>
      <c r="G18" s="32">
        <v>7</v>
      </c>
      <c r="H18" s="9" t="s">
        <v>15</v>
      </c>
      <c r="I18" s="2">
        <v>71966.95</v>
      </c>
      <c r="J18" s="28">
        <v>66445.100000000006</v>
      </c>
      <c r="K18" s="6">
        <f>ROUND((I18-J18),5)</f>
        <v>5521.85</v>
      </c>
      <c r="L18" s="1">
        <f>ROUND(IF(J18=0, IF(I18=0, 0, 1), I18/J18),5)</f>
        <v>1.0831</v>
      </c>
    </row>
    <row r="19" spans="1:12" x14ac:dyDescent="0.25">
      <c r="B19" s="25" t="s">
        <v>16</v>
      </c>
      <c r="C19" s="2">
        <v>117599.75</v>
      </c>
      <c r="D19" s="2">
        <v>121226.25</v>
      </c>
      <c r="E19" s="6">
        <f>ROUND((C19-D19),5)</f>
        <v>-3626.5</v>
      </c>
      <c r="F19" s="1">
        <f>ROUND(IF(D19=0, IF(C19=0, 0, 1), C19/D19),5)</f>
        <v>0.97008000000000005</v>
      </c>
      <c r="G19" s="32">
        <v>8</v>
      </c>
      <c r="H19" s="9" t="s">
        <v>16</v>
      </c>
      <c r="I19" s="2">
        <v>228682.69</v>
      </c>
      <c r="J19" s="28">
        <v>242452.5</v>
      </c>
      <c r="K19" s="6">
        <f>ROUND((I19-J19),5)</f>
        <v>-13769.81</v>
      </c>
      <c r="L19" s="1">
        <f>ROUND(IF(J19=0, IF(I19=0, 0, 1), I19/J19),5)</f>
        <v>0.94320999999999999</v>
      </c>
    </row>
    <row r="20" spans="1:12" x14ac:dyDescent="0.25">
      <c r="C20" s="2"/>
      <c r="D20" s="2"/>
      <c r="E20" s="6"/>
      <c r="I20" s="2"/>
      <c r="J20" s="28"/>
      <c r="K20" s="6"/>
    </row>
    <row r="21" spans="1:12" s="12" customFormat="1" ht="15.75" thickBot="1" x14ac:dyDescent="0.3">
      <c r="A21" s="12" t="s">
        <v>17</v>
      </c>
      <c r="B21" s="13"/>
      <c r="C21" s="14">
        <f>SUM(C16:C20)</f>
        <v>157957.48000000001</v>
      </c>
      <c r="D21" s="14">
        <f>SUM(D16:D20)</f>
        <v>146383.54999999999</v>
      </c>
      <c r="E21" s="15">
        <f>SUM(E16:E20)</f>
        <v>11573.930000000002</v>
      </c>
      <c r="G21" s="16" t="s">
        <v>17</v>
      </c>
      <c r="H21" s="13"/>
      <c r="I21" s="14">
        <f>SUM(I16:I20)</f>
        <v>351923.24</v>
      </c>
      <c r="J21" s="29">
        <f>SUM(J16:J20)</f>
        <v>400008.54000000004</v>
      </c>
      <c r="K21" s="15">
        <f>SUM(K16:K20)</f>
        <v>-48085.299999999996</v>
      </c>
    </row>
    <row r="22" spans="1:12" ht="15.75" thickTop="1" x14ac:dyDescent="0.25">
      <c r="C22" s="2"/>
      <c r="D22" s="2"/>
      <c r="E22" s="6"/>
      <c r="I22" s="2"/>
      <c r="J22" s="28"/>
      <c r="K22" s="6"/>
    </row>
    <row r="23" spans="1:12" ht="15.75" thickBot="1" x14ac:dyDescent="0.3">
      <c r="A23" s="3" t="s">
        <v>19</v>
      </c>
      <c r="C23" s="5">
        <f>C13-C21</f>
        <v>31974.27999999997</v>
      </c>
      <c r="D23" s="5">
        <f>D13-D21</f>
        <v>6248.9199999999837</v>
      </c>
      <c r="E23" s="7">
        <f>E13-E21</f>
        <v>25725.360000000001</v>
      </c>
      <c r="G23" s="11" t="s">
        <v>19</v>
      </c>
      <c r="I23" s="5">
        <f>I13-I21</f>
        <v>59923.920000000042</v>
      </c>
      <c r="J23" s="30">
        <f>J13-J21</f>
        <v>-605.42000000004191</v>
      </c>
      <c r="K23" s="7">
        <f>K13-K21</f>
        <v>60529.34</v>
      </c>
    </row>
    <row r="24" spans="1:12" ht="15.75" thickTop="1" x14ac:dyDescent="0.25">
      <c r="I24" s="31"/>
      <c r="J24" s="31"/>
    </row>
    <row r="26" spans="1:12" ht="15.75" x14ac:dyDescent="0.25">
      <c r="A26" s="33" t="s">
        <v>23</v>
      </c>
      <c r="B26" s="36"/>
    </row>
    <row r="27" spans="1:12" s="8" customFormat="1" ht="31.5" x14ac:dyDescent="0.25">
      <c r="A27" s="33" t="s">
        <v>28</v>
      </c>
      <c r="B27" s="36" t="s">
        <v>29</v>
      </c>
      <c r="G27" s="10"/>
      <c r="H27" s="9"/>
      <c r="J27" s="9"/>
    </row>
    <row r="28" spans="1:12" ht="126" x14ac:dyDescent="0.25">
      <c r="A28" s="37" t="s">
        <v>32</v>
      </c>
      <c r="B28" s="38" t="s">
        <v>26</v>
      </c>
    </row>
    <row r="29" spans="1:12" s="8" customFormat="1" ht="31.5" x14ac:dyDescent="0.25">
      <c r="A29" s="37">
        <v>2</v>
      </c>
      <c r="B29" s="38" t="s">
        <v>31</v>
      </c>
      <c r="G29" s="10"/>
      <c r="H29" s="9"/>
      <c r="J29" s="9"/>
    </row>
    <row r="30" spans="1:12" ht="47.25" x14ac:dyDescent="0.25">
      <c r="A30" s="37">
        <v>3</v>
      </c>
      <c r="B30" s="38" t="s">
        <v>25</v>
      </c>
    </row>
    <row r="31" spans="1:12" ht="47.25" x14ac:dyDescent="0.25">
      <c r="A31" s="37">
        <v>4</v>
      </c>
      <c r="B31" s="38" t="s">
        <v>24</v>
      </c>
    </row>
    <row r="32" spans="1:12" ht="63" x14ac:dyDescent="0.25">
      <c r="A32" s="37">
        <v>6</v>
      </c>
      <c r="B32" s="38" t="s">
        <v>21</v>
      </c>
    </row>
    <row r="33" spans="1:2" ht="110.25" x14ac:dyDescent="0.25">
      <c r="A33" s="37">
        <v>7</v>
      </c>
      <c r="B33" s="38" t="s">
        <v>22</v>
      </c>
    </row>
    <row r="34" spans="1:2" ht="47.25" x14ac:dyDescent="0.25">
      <c r="A34" s="37">
        <v>8</v>
      </c>
      <c r="B34" s="38" t="s">
        <v>30</v>
      </c>
    </row>
    <row r="35" spans="1:2" x14ac:dyDescent="0.25">
      <c r="A35" s="26"/>
      <c r="B35" s="27"/>
    </row>
  </sheetData>
  <mergeCells count="2">
    <mergeCell ref="C5:F5"/>
    <mergeCell ref="I5:L5"/>
  </mergeCells>
  <conditionalFormatting sqref="E8:E23">
    <cfRule type="iconSet" priority="2">
      <iconSet iconSet="3Arrows">
        <cfvo type="percent" val="0"/>
        <cfvo type="num" val="0"/>
        <cfvo type="num" val="1"/>
      </iconSet>
    </cfRule>
  </conditionalFormatting>
  <conditionalFormatting sqref="K8:K23">
    <cfRule type="iconSet" priority="1">
      <iconSet iconSet="3Arrows">
        <cfvo type="percent" val="0"/>
        <cfvo type="num" val="0"/>
        <cfvo type="num" val="1"/>
      </iconSet>
    </cfRule>
  </conditionalFormatting>
  <pageMargins left="0.25" right="0.25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09E3AC041C5418DF6684B450345D6" ma:contentTypeVersion="13" ma:contentTypeDescription="Create a new document." ma:contentTypeScope="" ma:versionID="628a112cbc80ef1b511b154c9a554c73">
  <xsd:schema xmlns:xsd="http://www.w3.org/2001/XMLSchema" xmlns:xs="http://www.w3.org/2001/XMLSchema" xmlns:p="http://schemas.microsoft.com/office/2006/metadata/properties" xmlns:ns3="b85656d9-c6fc-4fb5-b021-4feea804feab" xmlns:ns4="2422ae29-d9dc-45b5-9e8d-044b14585249" targetNamespace="http://schemas.microsoft.com/office/2006/metadata/properties" ma:root="true" ma:fieldsID="2160b36102f7a7943b7d2653a03ba606" ns3:_="" ns4:_="">
    <xsd:import namespace="b85656d9-c6fc-4fb5-b021-4feea804feab"/>
    <xsd:import namespace="2422ae29-d9dc-45b5-9e8d-044b145852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656d9-c6fc-4fb5-b021-4feea804f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2ae29-d9dc-45b5-9e8d-044b14585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8EE4EE-E998-4FBF-ABB8-6A2F78F0C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656d9-c6fc-4fb5-b021-4feea804feab"/>
    <ds:schemaRef ds:uri="2422ae29-d9dc-45b5-9e8d-044b1458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8AB435-76BF-411E-8CFE-E59E1AC5EC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1545D-0E1B-49D5-88A5-57A1DD4C56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85656d9-c6fc-4fb5-b021-4feea804feab"/>
    <ds:schemaRef ds:uri="2422ae29-d9dc-45b5-9e8d-044b1458524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Qtr 3 SOA BVA</vt:lpstr>
      <vt:lpstr>Qtr 2 SOA Bva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Young</dc:creator>
  <cp:lastModifiedBy>Joy Young</cp:lastModifiedBy>
  <cp:lastPrinted>2020-04-10T17:24:17Z</cp:lastPrinted>
  <dcterms:created xsi:type="dcterms:W3CDTF">2020-04-08T01:37:26Z</dcterms:created>
  <dcterms:modified xsi:type="dcterms:W3CDTF">2020-05-26T22:59:53Z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0x010100CBF09E3AC041C5418DF6684B450345D6</vt:lpwstr>
  </property>
</Properties>
</file>